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710" yWindow="30" windowWidth="9165" windowHeight="8100" activeTab="0"/>
  </bookViews>
  <sheets>
    <sheet name="trim IV 202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<sst xmlns="http://schemas.openxmlformats.org/spreadsheetml/2006/main" count="117" uniqueCount="87">
  <si>
    <t>Titlu contract</t>
  </si>
  <si>
    <t>Nr. contract și data atribuirii</t>
  </si>
  <si>
    <t>Obiect contract</t>
  </si>
  <si>
    <t>Procedura aplicată</t>
  </si>
  <si>
    <t>Număr ofertanți</t>
  </si>
  <si>
    <t>Furnizor / Prestator / Executant</t>
  </si>
  <si>
    <t xml:space="preserve">Parteneri </t>
  </si>
  <si>
    <t>(asociați/subcontractanți/terți/susținători)</t>
  </si>
  <si>
    <t>Sursa finanțării</t>
  </si>
  <si>
    <t>Data de început</t>
  </si>
  <si>
    <t>Data de finalizare prevăzută în contract</t>
  </si>
  <si>
    <t>Modificare a cuantumului prețului prin act adițional /  și data acestuia.</t>
  </si>
  <si>
    <t>Executarea contractului</t>
  </si>
  <si>
    <t>Preț final</t>
  </si>
  <si>
    <t>Status</t>
  </si>
  <si>
    <t>(finalizat / în execuție)</t>
  </si>
  <si>
    <t>Valoare plătită (cu TVA)</t>
  </si>
  <si>
    <t xml:space="preserve">Valoarea prevăzută în contract (RON) - TVA inclus - </t>
  </si>
  <si>
    <t>A.N.R.S.C.</t>
  </si>
  <si>
    <t xml:space="preserve">Centralizatorul achizițiilor publice – situația executării contractelor de achiziţii publice </t>
  </si>
  <si>
    <t>Data efectuării plăţii</t>
  </si>
  <si>
    <t>Achizitie directa</t>
  </si>
  <si>
    <t>in executie</t>
  </si>
  <si>
    <t>Primirea, prelucrarea si livrarea corespondentei</t>
  </si>
  <si>
    <t>CN Posta Romana SA</t>
  </si>
  <si>
    <t>Bugetul ANRSC</t>
  </si>
  <si>
    <t>Centrul Medical Unirea SRL</t>
  </si>
  <si>
    <t>Centrul Teritorial de Calcul Electronic SA</t>
  </si>
  <si>
    <t>servicii de mentenanta si suport tehnic pentru sosoftware-ul financiar contabil si de gestiune</t>
  </si>
  <si>
    <t>Furnizare produse</t>
  </si>
  <si>
    <t>OMV PETROM MARKETING SRL</t>
  </si>
  <si>
    <t>furnizare motorina, benzina pe baza de carduri ptr conbustibili</t>
  </si>
  <si>
    <t>inchiriere si mentenanta sediu central ANRSC</t>
  </si>
  <si>
    <t>DANRO INVEST &amp; CONSTRUCT SRL</t>
  </si>
  <si>
    <t xml:space="preserve">Servicii </t>
  </si>
  <si>
    <t>TABEL</t>
  </si>
  <si>
    <t>Decembrie</t>
  </si>
  <si>
    <t>Noiembrie</t>
  </si>
  <si>
    <t>Octombrie</t>
  </si>
  <si>
    <t>Septembrie</t>
  </si>
  <si>
    <t>August</t>
  </si>
  <si>
    <t>Iulie</t>
  </si>
  <si>
    <t>Iunie</t>
  </si>
  <si>
    <t>Mai</t>
  </si>
  <si>
    <t>Aprilie</t>
  </si>
  <si>
    <t>Martie</t>
  </si>
  <si>
    <t>Pret/l cu TVA si reducere conform contract</t>
  </si>
  <si>
    <t>Pret unitar fara TVA</t>
  </si>
  <si>
    <t xml:space="preserve">motorina </t>
  </si>
  <si>
    <t xml:space="preserve">benzina </t>
  </si>
  <si>
    <t>Anexa la referatul nr. ................../......................</t>
  </si>
  <si>
    <t>S.A.A.P.P.</t>
  </si>
  <si>
    <t>Carmen Acikgoz</t>
  </si>
  <si>
    <t>privind evoluția prețurilor la combustibilii auto (motorina si benzina)</t>
  </si>
  <si>
    <t>în perioada martie -decembrie 2022</t>
  </si>
  <si>
    <t>Medie pret unitar fara TVA în perioada  martie-decembrie 2022</t>
  </si>
  <si>
    <t xml:space="preserve">Consum </t>
  </si>
  <si>
    <t>valoare factura cu TVA</t>
  </si>
  <si>
    <t>Contract nr. 972832/ 21.02.2023</t>
  </si>
  <si>
    <t>-</t>
  </si>
  <si>
    <r>
      <t xml:space="preserve">Contract nr. </t>
    </r>
    <r>
      <rPr>
        <sz val="9"/>
        <rFont val="Calibri"/>
        <family val="2"/>
      </rPr>
      <t>970921/ 25.01.2023</t>
    </r>
  </si>
  <si>
    <t>procedura proprie</t>
  </si>
  <si>
    <t>Contract subsecvent nr. 3 inregistrat cu nr. 973271/28.02.2023</t>
  </si>
  <si>
    <t>Contract subsecvent nr. 4 inregistrat cu nr. 976186/25.04.2023</t>
  </si>
  <si>
    <t>Contract nr. 975010/ 31.03.2023</t>
  </si>
  <si>
    <t>Servicii medicale de medicina muncii ptr angajatii ANRSC</t>
  </si>
  <si>
    <t>Servicii</t>
  </si>
  <si>
    <t>Contract subsecvent nr.1 inregistrat cu nr. 970168/09.01.2023 la Acordul-cadru nr 969646/2022</t>
  </si>
  <si>
    <t>Servicii de depozitare arhiva</t>
  </si>
  <si>
    <t>Contract subsecvent nr.1 inregistrat cu nr. 975396/06.04.2023 la Acordul-cadru nr 975395/2023</t>
  </si>
  <si>
    <t>STEFADINA COMSERV SRL</t>
  </si>
  <si>
    <t>INTEGRAL PLAST SRL</t>
  </si>
  <si>
    <t>Serviciul Administrativ, Achizitii Publice si protocol</t>
  </si>
  <si>
    <t>Directia Financiar, Contabilitate Administrativ</t>
  </si>
  <si>
    <t>Georgeta Brezeanu</t>
  </si>
  <si>
    <t>licitatie deschisa -achizitie centralizata - Acord-cadru ONAC</t>
  </si>
  <si>
    <t xml:space="preserve"> a căror valoare este mai mare de 5000 euro - trim. IV 2023</t>
  </si>
  <si>
    <t>AA nr. 1/ 15.12.2023</t>
  </si>
  <si>
    <t>AA nr.1/ 13.12.2023</t>
  </si>
  <si>
    <t>AA nr. 1/ 13.12.2023</t>
  </si>
  <si>
    <t>Servicii inchiriere spatiu AT Sud EST</t>
  </si>
  <si>
    <t>AA nr 1/ 13.12.2023</t>
  </si>
  <si>
    <t>AA nr. 1/ 05.12.2023</t>
  </si>
  <si>
    <t xml:space="preserve"> furnizare  calculatoare desktop si licente Microsoft Office Home and Business 2021 </t>
  </si>
  <si>
    <t>Contract de furnizare nr. 984650/26.10.2023</t>
  </si>
  <si>
    <t>PMC Group Distributie srl</t>
  </si>
  <si>
    <t>finalizat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</si>
</sst>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[$-418]d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[$-418]d\ mmmm\ yyyy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0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6E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wrapText="1"/>
    </xf>
    <xf numFmtId="0" fontId="48" fillId="33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4" fontId="43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center" wrapText="1"/>
    </xf>
    <xf numFmtId="0" fontId="0" fillId="34" borderId="0" xfId="0" applyFill="1" applyAlignment="1">
      <alignment/>
    </xf>
    <xf numFmtId="2" fontId="45" fillId="0" borderId="0" xfId="0" applyNumberFormat="1" applyFont="1" applyAlignment="1">
      <alignment horizontal="center" vertical="center" wrapText="1"/>
    </xf>
    <xf numFmtId="2" fontId="49" fillId="0" borderId="0" xfId="0" applyNumberFormat="1" applyFont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172" fontId="50" fillId="0" borderId="0" xfId="0" applyNumberFormat="1" applyFont="1" applyBorder="1" applyAlignment="1">
      <alignment horizontal="center" vertical="top" wrapText="1"/>
    </xf>
    <xf numFmtId="4" fontId="50" fillId="0" borderId="0" xfId="0" applyNumberFormat="1" applyFont="1" applyBorder="1" applyAlignment="1">
      <alignment horizontal="right" vertical="top" wrapText="1"/>
    </xf>
    <xf numFmtId="0" fontId="46" fillId="0" borderId="0" xfId="0" applyFont="1" applyFill="1" applyBorder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vertical="center" wrapText="1"/>
    </xf>
    <xf numFmtId="14" fontId="46" fillId="0" borderId="0" xfId="0" applyNumberFormat="1" applyFont="1" applyFill="1" applyBorder="1" applyAlignment="1">
      <alignment vertical="center" wrapText="1"/>
    </xf>
    <xf numFmtId="4" fontId="46" fillId="0" borderId="0" xfId="0" applyNumberFormat="1" applyFont="1" applyFill="1" applyBorder="1" applyAlignment="1">
      <alignment horizontal="right" vertical="center" wrapText="1"/>
    </xf>
    <xf numFmtId="14" fontId="46" fillId="0" borderId="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14" fontId="46" fillId="0" borderId="10" xfId="0" applyNumberFormat="1" applyFont="1" applyFill="1" applyBorder="1" applyAlignment="1">
      <alignment vertical="center"/>
    </xf>
    <xf numFmtId="4" fontId="51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 horizontal="right" vertical="center" wrapText="1"/>
    </xf>
    <xf numFmtId="14" fontId="2" fillId="0" borderId="10" xfId="0" applyNumberFormat="1" applyFont="1" applyFill="1" applyBorder="1" applyAlignment="1">
      <alignment vertical="center"/>
    </xf>
    <xf numFmtId="14" fontId="46" fillId="0" borderId="10" xfId="0" applyNumberFormat="1" applyFont="1" applyFill="1" applyBorder="1" applyAlignment="1">
      <alignment horizontal="right" vertical="center"/>
    </xf>
    <xf numFmtId="4" fontId="46" fillId="0" borderId="10" xfId="0" applyNumberFormat="1" applyFont="1" applyFill="1" applyBorder="1" applyAlignment="1">
      <alignment vertical="center" wrapText="1"/>
    </xf>
    <xf numFmtId="14" fontId="46" fillId="0" borderId="10" xfId="0" applyNumberFormat="1" applyFont="1" applyFill="1" applyBorder="1" applyAlignment="1">
      <alignment vertical="center" wrapText="1"/>
    </xf>
    <xf numFmtId="14" fontId="46" fillId="0" borderId="10" xfId="0" applyNumberFormat="1" applyFont="1" applyFill="1" applyBorder="1" applyAlignment="1">
      <alignment horizontal="right" vertical="center" wrapText="1"/>
    </xf>
    <xf numFmtId="0" fontId="46" fillId="0" borderId="0" xfId="0" applyFont="1" applyAlignment="1">
      <alignment horizont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14" fontId="2" fillId="0" borderId="13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1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46" fillId="35" borderId="10" xfId="0" applyFont="1" applyFill="1" applyBorder="1" applyAlignment="1">
      <alignment horizontal="center" vertical="center" textRotation="90" wrapText="1"/>
    </xf>
    <xf numFmtId="0" fontId="46" fillId="35" borderId="10" xfId="0" applyFont="1" applyFill="1" applyBorder="1" applyAlignment="1">
      <alignment vertical="center" wrapText="1"/>
    </xf>
    <xf numFmtId="0" fontId="47" fillId="35" borderId="10" xfId="0" applyFont="1" applyFill="1" applyBorder="1" applyAlignment="1">
      <alignment horizontal="center" vertical="center" textRotation="90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6" fillId="0" borderId="11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3" fillId="0" borderId="14" xfId="0" applyFont="1" applyFill="1" applyBorder="1" applyAlignment="1">
      <alignment horizontal="center" wrapText="1"/>
    </xf>
    <xf numFmtId="0" fontId="43" fillId="0" borderId="15" xfId="0" applyFont="1" applyFill="1" applyBorder="1" applyAlignment="1">
      <alignment horizontal="center" wrapText="1"/>
    </xf>
    <xf numFmtId="0" fontId="43" fillId="0" borderId="16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1">
      <selection activeCell="D38" sqref="D38"/>
    </sheetView>
  </sheetViews>
  <sheetFormatPr defaultColWidth="11.7109375" defaultRowHeight="15"/>
  <cols>
    <col min="1" max="1" width="13.7109375" style="2" customWidth="1"/>
    <col min="2" max="2" width="14.28125" style="2" customWidth="1"/>
    <col min="3" max="3" width="13.57421875" style="2" customWidth="1"/>
    <col min="4" max="4" width="9.421875" style="2" customWidth="1"/>
    <col min="5" max="5" width="4.421875" style="2" customWidth="1"/>
    <col min="6" max="6" width="15.00390625" style="4" customWidth="1"/>
    <col min="7" max="7" width="4.28125" style="3" customWidth="1"/>
    <col min="8" max="8" width="9.8515625" style="2" customWidth="1"/>
    <col min="9" max="9" width="7.140625" style="4" customWidth="1"/>
    <col min="10" max="10" width="9.140625" style="2" customWidth="1"/>
    <col min="11" max="11" width="9.00390625" style="2" customWidth="1"/>
    <col min="12" max="12" width="8.57421875" style="3" customWidth="1"/>
    <col min="13" max="13" width="10.421875" style="2" customWidth="1"/>
    <col min="14" max="14" width="9.421875" style="2" customWidth="1"/>
    <col min="15" max="15" width="10.421875" style="2" customWidth="1"/>
    <col min="16" max="16" width="8.140625" style="2" customWidth="1"/>
    <col min="17" max="17" width="11.7109375" style="2" customWidth="1"/>
    <col min="18" max="18" width="17.421875" style="2" customWidth="1"/>
    <col min="19" max="19" width="16.00390625" style="2" customWidth="1"/>
    <col min="20" max="16384" width="11.7109375" style="2" customWidth="1"/>
  </cols>
  <sheetData>
    <row r="1" ht="12">
      <c r="A1" s="1" t="s">
        <v>18</v>
      </c>
    </row>
    <row r="2" spans="1:16" ht="12">
      <c r="A2" s="76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2">
      <c r="A3" s="76" t="s">
        <v>76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5" spans="1:16" ht="14.25" customHeight="1">
      <c r="A5" s="13"/>
      <c r="B5" s="13"/>
      <c r="C5" s="13"/>
      <c r="D5" s="13"/>
      <c r="E5" s="13"/>
      <c r="F5" s="13"/>
      <c r="G5" s="14"/>
      <c r="H5" s="13"/>
      <c r="I5" s="13"/>
      <c r="J5" s="13"/>
      <c r="K5" s="13"/>
      <c r="L5" s="14"/>
      <c r="M5" s="13"/>
      <c r="N5" s="13"/>
      <c r="O5" s="13"/>
      <c r="P5" s="13"/>
    </row>
    <row r="6" spans="1:16" ht="33.75">
      <c r="A6" s="77" t="s">
        <v>0</v>
      </c>
      <c r="B6" s="77" t="s">
        <v>1</v>
      </c>
      <c r="C6" s="77" t="s">
        <v>2</v>
      </c>
      <c r="D6" s="77" t="s">
        <v>3</v>
      </c>
      <c r="E6" s="77" t="s">
        <v>4</v>
      </c>
      <c r="F6" s="77" t="s">
        <v>5</v>
      </c>
      <c r="G6" s="15" t="s">
        <v>6</v>
      </c>
      <c r="H6" s="77" t="s">
        <v>17</v>
      </c>
      <c r="I6" s="77" t="s">
        <v>8</v>
      </c>
      <c r="J6" s="77" t="s">
        <v>9</v>
      </c>
      <c r="K6" s="77" t="s">
        <v>10</v>
      </c>
      <c r="L6" s="79" t="s">
        <v>11</v>
      </c>
      <c r="M6" s="82" t="s">
        <v>12</v>
      </c>
      <c r="N6" s="82"/>
      <c r="O6" s="78" t="s">
        <v>13</v>
      </c>
      <c r="P6" s="16" t="s">
        <v>14</v>
      </c>
    </row>
    <row r="7" spans="1:16" ht="69.75" customHeight="1">
      <c r="A7" s="77"/>
      <c r="B7" s="77"/>
      <c r="C7" s="77"/>
      <c r="D7" s="77"/>
      <c r="E7" s="77"/>
      <c r="F7" s="77"/>
      <c r="G7" s="79" t="s">
        <v>7</v>
      </c>
      <c r="H7" s="77"/>
      <c r="I7" s="77"/>
      <c r="J7" s="77"/>
      <c r="K7" s="77"/>
      <c r="L7" s="79"/>
      <c r="M7" s="77" t="s">
        <v>16</v>
      </c>
      <c r="N7" s="77" t="s">
        <v>20</v>
      </c>
      <c r="O7" s="78"/>
      <c r="P7" s="82" t="s">
        <v>15</v>
      </c>
    </row>
    <row r="8" spans="1:16" ht="12">
      <c r="A8" s="77"/>
      <c r="B8" s="77"/>
      <c r="C8" s="77"/>
      <c r="D8" s="77"/>
      <c r="E8" s="77"/>
      <c r="F8" s="77"/>
      <c r="G8" s="79"/>
      <c r="H8" s="77"/>
      <c r="I8" s="77"/>
      <c r="J8" s="77"/>
      <c r="K8" s="77"/>
      <c r="L8" s="79"/>
      <c r="M8" s="77"/>
      <c r="N8" s="77"/>
      <c r="O8" s="78"/>
      <c r="P8" s="82"/>
    </row>
    <row r="9" spans="1:16" s="5" customFormat="1" ht="22.5" customHeight="1">
      <c r="A9" s="45" t="s">
        <v>34</v>
      </c>
      <c r="B9" s="45" t="s">
        <v>58</v>
      </c>
      <c r="C9" s="45" t="s">
        <v>23</v>
      </c>
      <c r="D9" s="45" t="s">
        <v>21</v>
      </c>
      <c r="E9" s="60">
        <v>3</v>
      </c>
      <c r="F9" s="45" t="s">
        <v>24</v>
      </c>
      <c r="G9" s="64" t="s">
        <v>59</v>
      </c>
      <c r="H9" s="65">
        <f>99698.71+30000</f>
        <v>129698.71</v>
      </c>
      <c r="I9" s="45" t="s">
        <v>25</v>
      </c>
      <c r="J9" s="43">
        <v>44986</v>
      </c>
      <c r="K9" s="43">
        <v>45351</v>
      </c>
      <c r="L9" s="80" t="s">
        <v>79</v>
      </c>
      <c r="M9" s="27">
        <v>2776.92</v>
      </c>
      <c r="N9" s="28">
        <v>45210</v>
      </c>
      <c r="O9" s="74"/>
      <c r="P9" s="45" t="s">
        <v>22</v>
      </c>
    </row>
    <row r="10" spans="1:16" s="5" customFormat="1" ht="22.5" customHeight="1">
      <c r="A10" s="46"/>
      <c r="B10" s="46"/>
      <c r="C10" s="46"/>
      <c r="D10" s="46"/>
      <c r="E10" s="61"/>
      <c r="F10" s="46"/>
      <c r="G10" s="64"/>
      <c r="H10" s="66"/>
      <c r="I10" s="46"/>
      <c r="J10" s="44"/>
      <c r="K10" s="44"/>
      <c r="L10" s="81"/>
      <c r="M10" s="29">
        <v>4620.07</v>
      </c>
      <c r="N10" s="28">
        <v>45252</v>
      </c>
      <c r="O10" s="75"/>
      <c r="P10" s="46"/>
    </row>
    <row r="11" spans="1:16" s="5" customFormat="1" ht="22.5" customHeight="1">
      <c r="A11" s="46"/>
      <c r="B11" s="46"/>
      <c r="C11" s="46"/>
      <c r="D11" s="46"/>
      <c r="E11" s="61"/>
      <c r="F11" s="46"/>
      <c r="G11" s="64"/>
      <c r="H11" s="66"/>
      <c r="I11" s="46"/>
      <c r="J11" s="44"/>
      <c r="K11" s="44"/>
      <c r="L11" s="81"/>
      <c r="M11" s="27">
        <v>12672.6</v>
      </c>
      <c r="N11" s="28">
        <v>45275</v>
      </c>
      <c r="O11" s="75"/>
      <c r="P11" s="46"/>
    </row>
    <row r="12" spans="1:16" s="5" customFormat="1" ht="22.5" customHeight="1">
      <c r="A12" s="46"/>
      <c r="B12" s="46"/>
      <c r="C12" s="46"/>
      <c r="D12" s="46"/>
      <c r="E12" s="61"/>
      <c r="F12" s="46"/>
      <c r="G12" s="64"/>
      <c r="H12" s="66"/>
      <c r="I12" s="46"/>
      <c r="J12" s="44"/>
      <c r="K12" s="44"/>
      <c r="L12" s="81"/>
      <c r="M12" s="27">
        <v>8610.23</v>
      </c>
      <c r="N12" s="28">
        <v>45281</v>
      </c>
      <c r="O12" s="75"/>
      <c r="P12" s="46"/>
    </row>
    <row r="13" spans="1:16" s="5" customFormat="1" ht="24.75" customHeight="1">
      <c r="A13" s="54" t="s">
        <v>34</v>
      </c>
      <c r="B13" s="56" t="s">
        <v>60</v>
      </c>
      <c r="C13" s="63" t="s">
        <v>28</v>
      </c>
      <c r="D13" s="54" t="s">
        <v>21</v>
      </c>
      <c r="E13" s="63">
        <v>1</v>
      </c>
      <c r="F13" s="63" t="s">
        <v>27</v>
      </c>
      <c r="G13" s="84"/>
      <c r="H13" s="56">
        <f>150535+13685</f>
        <v>164220</v>
      </c>
      <c r="I13" s="54" t="s">
        <v>25</v>
      </c>
      <c r="J13" s="83">
        <v>44958</v>
      </c>
      <c r="K13" s="83">
        <v>45322</v>
      </c>
      <c r="L13" s="84" t="s">
        <v>79</v>
      </c>
      <c r="M13" s="30">
        <v>13685</v>
      </c>
      <c r="N13" s="31">
        <v>45208</v>
      </c>
      <c r="O13" s="73"/>
      <c r="P13" s="54" t="s">
        <v>22</v>
      </c>
    </row>
    <row r="14" spans="1:16" s="5" customFormat="1" ht="21.75" customHeight="1">
      <c r="A14" s="54"/>
      <c r="B14" s="56"/>
      <c r="C14" s="63"/>
      <c r="D14" s="54"/>
      <c r="E14" s="63"/>
      <c r="F14" s="63"/>
      <c r="G14" s="84"/>
      <c r="H14" s="56"/>
      <c r="I14" s="54"/>
      <c r="J14" s="83"/>
      <c r="K14" s="83"/>
      <c r="L14" s="84"/>
      <c r="M14" s="30">
        <v>13685</v>
      </c>
      <c r="N14" s="31">
        <v>45230</v>
      </c>
      <c r="O14" s="73"/>
      <c r="P14" s="54"/>
    </row>
    <row r="15" spans="1:16" s="5" customFormat="1" ht="21.75" customHeight="1">
      <c r="A15" s="54"/>
      <c r="B15" s="56"/>
      <c r="C15" s="63"/>
      <c r="D15" s="54"/>
      <c r="E15" s="63"/>
      <c r="F15" s="63"/>
      <c r="G15" s="84"/>
      <c r="H15" s="56"/>
      <c r="I15" s="54"/>
      <c r="J15" s="83"/>
      <c r="K15" s="83"/>
      <c r="L15" s="84"/>
      <c r="M15" s="30">
        <v>13685</v>
      </c>
      <c r="N15" s="31">
        <v>45278</v>
      </c>
      <c r="O15" s="73"/>
      <c r="P15" s="54"/>
    </row>
    <row r="16" spans="1:16" s="5" customFormat="1" ht="24.75" customHeight="1">
      <c r="A16" s="54"/>
      <c r="B16" s="56"/>
      <c r="C16" s="63"/>
      <c r="D16" s="54"/>
      <c r="E16" s="63"/>
      <c r="F16" s="63"/>
      <c r="G16" s="84"/>
      <c r="H16" s="56"/>
      <c r="I16" s="54"/>
      <c r="J16" s="83"/>
      <c r="K16" s="83"/>
      <c r="L16" s="84"/>
      <c r="M16" s="30">
        <v>13685</v>
      </c>
      <c r="N16" s="31">
        <v>45281</v>
      </c>
      <c r="O16" s="73"/>
      <c r="P16" s="54"/>
    </row>
    <row r="17" spans="1:16" ht="26.25" customHeight="1">
      <c r="A17" s="60" t="s">
        <v>34</v>
      </c>
      <c r="B17" s="37" t="s">
        <v>63</v>
      </c>
      <c r="C17" s="37" t="s">
        <v>32</v>
      </c>
      <c r="D17" s="37" t="s">
        <v>61</v>
      </c>
      <c r="E17" s="63">
        <v>1</v>
      </c>
      <c r="F17" s="37" t="s">
        <v>33</v>
      </c>
      <c r="G17" s="37"/>
      <c r="H17" s="37">
        <f>1031311.07+515655.53</f>
        <v>1546966.6</v>
      </c>
      <c r="I17" s="37" t="s">
        <v>25</v>
      </c>
      <c r="J17" s="43">
        <v>45047</v>
      </c>
      <c r="K17" s="43">
        <v>45412</v>
      </c>
      <c r="L17" s="85" t="s">
        <v>81</v>
      </c>
      <c r="M17" s="33">
        <v>123592.75</v>
      </c>
      <c r="N17" s="31">
        <v>45203</v>
      </c>
      <c r="O17" s="37"/>
      <c r="P17" s="37" t="s">
        <v>22</v>
      </c>
    </row>
    <row r="18" spans="1:16" ht="26.25" customHeight="1">
      <c r="A18" s="61"/>
      <c r="B18" s="38"/>
      <c r="C18" s="38"/>
      <c r="D18" s="38"/>
      <c r="E18" s="63"/>
      <c r="F18" s="38"/>
      <c r="G18" s="38"/>
      <c r="H18" s="38"/>
      <c r="I18" s="38"/>
      <c r="J18" s="44"/>
      <c r="K18" s="44"/>
      <c r="L18" s="86"/>
      <c r="M18" s="33">
        <v>123346.79</v>
      </c>
      <c r="N18" s="31">
        <v>45230</v>
      </c>
      <c r="O18" s="38"/>
      <c r="P18" s="38"/>
    </row>
    <row r="19" spans="1:18" ht="26.25" customHeight="1">
      <c r="A19" s="61"/>
      <c r="B19" s="38"/>
      <c r="C19" s="38"/>
      <c r="D19" s="38"/>
      <c r="E19" s="63"/>
      <c r="F19" s="38"/>
      <c r="G19" s="38"/>
      <c r="H19" s="38"/>
      <c r="I19" s="38"/>
      <c r="J19" s="44"/>
      <c r="K19" s="44"/>
      <c r="L19" s="86"/>
      <c r="M19" s="33">
        <v>123540.58</v>
      </c>
      <c r="N19" s="31">
        <v>45259</v>
      </c>
      <c r="O19" s="38"/>
      <c r="P19" s="38"/>
      <c r="R19" s="17"/>
    </row>
    <row r="20" spans="1:18" ht="24.75" customHeight="1">
      <c r="A20" s="60" t="s">
        <v>29</v>
      </c>
      <c r="B20" s="45" t="s">
        <v>62</v>
      </c>
      <c r="C20" s="37" t="s">
        <v>31</v>
      </c>
      <c r="D20" s="37" t="s">
        <v>75</v>
      </c>
      <c r="E20" s="70">
        <v>1</v>
      </c>
      <c r="F20" s="45" t="s">
        <v>30</v>
      </c>
      <c r="G20" s="37"/>
      <c r="H20" s="40">
        <v>127323.48</v>
      </c>
      <c r="I20" s="37" t="s">
        <v>25</v>
      </c>
      <c r="J20" s="48">
        <v>44986</v>
      </c>
      <c r="K20" s="48">
        <v>45351</v>
      </c>
      <c r="L20" s="80" t="s">
        <v>77</v>
      </c>
      <c r="M20" s="29">
        <v>6774.16</v>
      </c>
      <c r="N20" s="32">
        <v>45218</v>
      </c>
      <c r="O20" s="51"/>
      <c r="P20" s="45" t="s">
        <v>22</v>
      </c>
      <c r="R20" s="18"/>
    </row>
    <row r="21" spans="1:18" ht="23.25" customHeight="1">
      <c r="A21" s="61"/>
      <c r="B21" s="46"/>
      <c r="C21" s="38"/>
      <c r="D21" s="38"/>
      <c r="E21" s="71"/>
      <c r="F21" s="46"/>
      <c r="G21" s="38"/>
      <c r="H21" s="41"/>
      <c r="I21" s="38"/>
      <c r="J21" s="49"/>
      <c r="K21" s="49"/>
      <c r="L21" s="81"/>
      <c r="M21" s="27">
        <v>6118.08</v>
      </c>
      <c r="N21" s="32">
        <v>45239</v>
      </c>
      <c r="O21" s="52"/>
      <c r="P21" s="46"/>
      <c r="R21" s="18"/>
    </row>
    <row r="22" spans="1:18" ht="41.25" customHeight="1">
      <c r="A22" s="62"/>
      <c r="B22" s="47"/>
      <c r="C22" s="39"/>
      <c r="D22" s="39"/>
      <c r="E22" s="72"/>
      <c r="F22" s="47"/>
      <c r="G22" s="39"/>
      <c r="H22" s="42"/>
      <c r="I22" s="39"/>
      <c r="J22" s="50"/>
      <c r="K22" s="50"/>
      <c r="L22" s="87"/>
      <c r="M22" s="27">
        <v>10726.48</v>
      </c>
      <c r="N22" s="32">
        <v>45273</v>
      </c>
      <c r="O22" s="53"/>
      <c r="P22" s="47"/>
      <c r="R22" s="18"/>
    </row>
    <row r="23" spans="1:20" ht="20.25" customHeight="1">
      <c r="A23" s="54" t="s">
        <v>34</v>
      </c>
      <c r="B23" s="56" t="s">
        <v>64</v>
      </c>
      <c r="C23" s="54" t="s">
        <v>65</v>
      </c>
      <c r="D23" s="54" t="s">
        <v>21</v>
      </c>
      <c r="E23" s="45">
        <v>1</v>
      </c>
      <c r="F23" s="54" t="s">
        <v>26</v>
      </c>
      <c r="G23" s="67"/>
      <c r="H23" s="56">
        <f>47250+18480</f>
        <v>65730</v>
      </c>
      <c r="I23" s="63" t="s">
        <v>25</v>
      </c>
      <c r="J23" s="83">
        <v>45017</v>
      </c>
      <c r="K23" s="83">
        <v>45412</v>
      </c>
      <c r="L23" s="88" t="s">
        <v>82</v>
      </c>
      <c r="M23" s="29">
        <v>3970.05</v>
      </c>
      <c r="N23" s="32">
        <v>45229</v>
      </c>
      <c r="O23" s="89"/>
      <c r="P23" s="89" t="s">
        <v>22</v>
      </c>
      <c r="R23" s="17"/>
      <c r="S23" s="17"/>
      <c r="T23" s="17"/>
    </row>
    <row r="24" spans="1:20" ht="23.25" customHeight="1">
      <c r="A24" s="54"/>
      <c r="B24" s="56"/>
      <c r="C24" s="54"/>
      <c r="D24" s="54"/>
      <c r="E24" s="46"/>
      <c r="F24" s="54"/>
      <c r="G24" s="68"/>
      <c r="H24" s="56"/>
      <c r="I24" s="63"/>
      <c r="J24" s="83"/>
      <c r="K24" s="83"/>
      <c r="L24" s="88"/>
      <c r="M24" s="27">
        <v>3966.06</v>
      </c>
      <c r="N24" s="32">
        <v>45238</v>
      </c>
      <c r="O24" s="89"/>
      <c r="P24" s="89"/>
      <c r="R24" s="17"/>
      <c r="S24" s="17"/>
      <c r="T24" s="17"/>
    </row>
    <row r="25" spans="1:20" ht="23.25" customHeight="1">
      <c r="A25" s="54"/>
      <c r="B25" s="56"/>
      <c r="C25" s="54"/>
      <c r="D25" s="54"/>
      <c r="E25" s="46"/>
      <c r="F25" s="54"/>
      <c r="G25" s="68"/>
      <c r="H25" s="56"/>
      <c r="I25" s="63"/>
      <c r="J25" s="83"/>
      <c r="K25" s="83"/>
      <c r="L25" s="88"/>
      <c r="M25" s="27">
        <v>3964.73</v>
      </c>
      <c r="N25" s="32">
        <v>45273</v>
      </c>
      <c r="O25" s="89"/>
      <c r="P25" s="89"/>
      <c r="R25" s="17"/>
      <c r="S25" s="17"/>
      <c r="T25" s="17"/>
    </row>
    <row r="26" spans="1:20" ht="21" customHeight="1">
      <c r="A26" s="54"/>
      <c r="B26" s="56"/>
      <c r="C26" s="54"/>
      <c r="D26" s="54"/>
      <c r="E26" s="47"/>
      <c r="F26" s="54"/>
      <c r="G26" s="69"/>
      <c r="H26" s="56"/>
      <c r="I26" s="63"/>
      <c r="J26" s="83"/>
      <c r="K26" s="83"/>
      <c r="L26" s="88"/>
      <c r="M26" s="27">
        <v>3967.39</v>
      </c>
      <c r="N26" s="32">
        <v>45274</v>
      </c>
      <c r="O26" s="89"/>
      <c r="P26" s="89"/>
      <c r="R26" s="17"/>
      <c r="S26" s="17"/>
      <c r="T26" s="17"/>
    </row>
    <row r="27" spans="1:20" ht="25.5" customHeight="1">
      <c r="A27" s="54" t="s">
        <v>66</v>
      </c>
      <c r="B27" s="54" t="s">
        <v>67</v>
      </c>
      <c r="C27" s="54" t="s">
        <v>68</v>
      </c>
      <c r="D27" s="57" t="s">
        <v>21</v>
      </c>
      <c r="E27" s="54">
        <v>1</v>
      </c>
      <c r="F27" s="54" t="s">
        <v>70</v>
      </c>
      <c r="G27" s="64"/>
      <c r="H27" s="56">
        <f>43882.94+14633.5</f>
        <v>58516.44</v>
      </c>
      <c r="I27" s="63" t="s">
        <v>25</v>
      </c>
      <c r="J27" s="83">
        <v>44935</v>
      </c>
      <c r="K27" s="83">
        <v>45412</v>
      </c>
      <c r="L27" s="84" t="s">
        <v>79</v>
      </c>
      <c r="M27" s="33">
        <v>3656.92</v>
      </c>
      <c r="N27" s="34">
        <v>45204</v>
      </c>
      <c r="O27" s="89"/>
      <c r="P27" s="54" t="s">
        <v>22</v>
      </c>
      <c r="R27" s="19"/>
      <c r="S27" s="18"/>
      <c r="T27" s="17"/>
    </row>
    <row r="28" spans="1:20" ht="25.5" customHeight="1">
      <c r="A28" s="54"/>
      <c r="B28" s="54"/>
      <c r="C28" s="54"/>
      <c r="D28" s="58"/>
      <c r="E28" s="54"/>
      <c r="F28" s="54"/>
      <c r="G28" s="64"/>
      <c r="H28" s="56"/>
      <c r="I28" s="63"/>
      <c r="J28" s="63"/>
      <c r="K28" s="63"/>
      <c r="L28" s="84"/>
      <c r="M28" s="30">
        <v>3656.92</v>
      </c>
      <c r="N28" s="34">
        <v>45230</v>
      </c>
      <c r="O28" s="89"/>
      <c r="P28" s="54"/>
      <c r="R28" s="19"/>
      <c r="S28" s="18"/>
      <c r="T28" s="17"/>
    </row>
    <row r="29" spans="1:20" ht="25.5" customHeight="1">
      <c r="A29" s="54"/>
      <c r="B29" s="54"/>
      <c r="C29" s="54"/>
      <c r="D29" s="58"/>
      <c r="E29" s="54"/>
      <c r="F29" s="54"/>
      <c r="G29" s="64"/>
      <c r="H29" s="56"/>
      <c r="I29" s="63"/>
      <c r="J29" s="63"/>
      <c r="K29" s="63"/>
      <c r="L29" s="84"/>
      <c r="M29" s="30">
        <v>3656.92</v>
      </c>
      <c r="N29" s="34">
        <v>45258</v>
      </c>
      <c r="O29" s="89"/>
      <c r="P29" s="54"/>
      <c r="R29" s="19"/>
      <c r="S29" s="18"/>
      <c r="T29" s="17"/>
    </row>
    <row r="30" spans="1:20" ht="30.75" customHeight="1">
      <c r="A30" s="54"/>
      <c r="B30" s="54"/>
      <c r="C30" s="54"/>
      <c r="D30" s="59"/>
      <c r="E30" s="54"/>
      <c r="F30" s="54"/>
      <c r="G30" s="64"/>
      <c r="H30" s="56"/>
      <c r="I30" s="63"/>
      <c r="J30" s="63"/>
      <c r="K30" s="63"/>
      <c r="L30" s="84"/>
      <c r="M30" s="33">
        <v>2282.46</v>
      </c>
      <c r="N30" s="35">
        <v>45287</v>
      </c>
      <c r="O30" s="89"/>
      <c r="P30" s="54"/>
      <c r="R30" s="17"/>
      <c r="S30" s="17"/>
      <c r="T30" s="17"/>
    </row>
    <row r="31" spans="1:16" ht="27" customHeight="1">
      <c r="A31" s="54" t="s">
        <v>66</v>
      </c>
      <c r="B31" s="54" t="s">
        <v>69</v>
      </c>
      <c r="C31" s="54" t="s">
        <v>80</v>
      </c>
      <c r="D31" s="54" t="s">
        <v>21</v>
      </c>
      <c r="E31" s="54">
        <v>3</v>
      </c>
      <c r="F31" s="55" t="s">
        <v>71</v>
      </c>
      <c r="G31" s="64"/>
      <c r="H31" s="56">
        <f>39641.65+18226</f>
        <v>57867.65</v>
      </c>
      <c r="I31" s="63" t="s">
        <v>25</v>
      </c>
      <c r="J31" s="83">
        <v>45026</v>
      </c>
      <c r="K31" s="83">
        <v>45046</v>
      </c>
      <c r="L31" s="84" t="s">
        <v>78</v>
      </c>
      <c r="M31" s="102">
        <v>4533.36</v>
      </c>
      <c r="N31" s="35">
        <v>45204</v>
      </c>
      <c r="O31" s="89"/>
      <c r="P31" s="54" t="s">
        <v>22</v>
      </c>
    </row>
    <row r="32" spans="1:16" ht="21.75" customHeight="1">
      <c r="A32" s="54"/>
      <c r="B32" s="54"/>
      <c r="C32" s="54"/>
      <c r="D32" s="54"/>
      <c r="E32" s="54"/>
      <c r="F32" s="55"/>
      <c r="G32" s="64"/>
      <c r="H32" s="56"/>
      <c r="I32" s="63"/>
      <c r="J32" s="63"/>
      <c r="K32" s="63"/>
      <c r="L32" s="84"/>
      <c r="M32" s="102">
        <v>4524.34</v>
      </c>
      <c r="N32" s="35">
        <v>45266</v>
      </c>
      <c r="O32" s="89"/>
      <c r="P32" s="54"/>
    </row>
    <row r="33" spans="1:16" ht="24" customHeight="1">
      <c r="A33" s="54"/>
      <c r="B33" s="54"/>
      <c r="C33" s="54"/>
      <c r="D33" s="54"/>
      <c r="E33" s="54"/>
      <c r="F33" s="55"/>
      <c r="G33" s="64"/>
      <c r="H33" s="56"/>
      <c r="I33" s="63"/>
      <c r="J33" s="63"/>
      <c r="K33" s="63"/>
      <c r="L33" s="84"/>
      <c r="M33" s="102">
        <v>4531.54</v>
      </c>
      <c r="N33" s="35">
        <v>45268</v>
      </c>
      <c r="O33" s="89"/>
      <c r="P33" s="54"/>
    </row>
    <row r="34" spans="1:16" ht="32.25" customHeight="1">
      <c r="A34" s="54" t="s">
        <v>29</v>
      </c>
      <c r="B34" s="54" t="s">
        <v>84</v>
      </c>
      <c r="C34" s="54" t="s">
        <v>83</v>
      </c>
      <c r="D34" s="63" t="s">
        <v>21</v>
      </c>
      <c r="E34" s="54">
        <v>4</v>
      </c>
      <c r="F34" s="100" t="s">
        <v>85</v>
      </c>
      <c r="G34" s="64"/>
      <c r="H34" s="89">
        <v>50549.78</v>
      </c>
      <c r="I34" s="54" t="s">
        <v>25</v>
      </c>
      <c r="J34" s="101">
        <v>45223</v>
      </c>
      <c r="K34" s="101">
        <v>45268</v>
      </c>
      <c r="L34" s="64"/>
      <c r="M34" s="103">
        <v>23600</v>
      </c>
      <c r="N34" s="35">
        <v>45257</v>
      </c>
      <c r="O34" s="89">
        <f>M34+M35+M36</f>
        <v>50549.78</v>
      </c>
      <c r="P34" s="54" t="s">
        <v>86</v>
      </c>
    </row>
    <row r="35" spans="1:16" ht="20.25" customHeight="1">
      <c r="A35" s="54"/>
      <c r="B35" s="54"/>
      <c r="C35" s="54"/>
      <c r="D35" s="63"/>
      <c r="E35" s="54"/>
      <c r="F35" s="100"/>
      <c r="G35" s="64"/>
      <c r="H35" s="89"/>
      <c r="I35" s="54"/>
      <c r="J35" s="101"/>
      <c r="K35" s="101"/>
      <c r="L35" s="64"/>
      <c r="M35" s="103">
        <v>10549.95</v>
      </c>
      <c r="N35" s="35">
        <v>45257</v>
      </c>
      <c r="O35" s="89"/>
      <c r="P35" s="54"/>
    </row>
    <row r="36" spans="1:16" ht="35.25" customHeight="1">
      <c r="A36" s="54"/>
      <c r="B36" s="54"/>
      <c r="C36" s="54"/>
      <c r="D36" s="63"/>
      <c r="E36" s="54"/>
      <c r="F36" s="100"/>
      <c r="G36" s="64"/>
      <c r="H36" s="89"/>
      <c r="I36" s="54"/>
      <c r="J36" s="101"/>
      <c r="K36" s="101"/>
      <c r="L36" s="64"/>
      <c r="M36" s="104">
        <v>16399.83</v>
      </c>
      <c r="N36" s="35">
        <v>45264</v>
      </c>
      <c r="O36" s="89"/>
      <c r="P36" s="54"/>
    </row>
    <row r="37" spans="1:16" ht="42.75" customHeight="1">
      <c r="A37" s="20"/>
      <c r="B37" s="20"/>
      <c r="C37" s="20"/>
      <c r="D37" s="20"/>
      <c r="E37" s="20"/>
      <c r="F37" s="21"/>
      <c r="G37" s="22"/>
      <c r="H37" s="23"/>
      <c r="I37" s="20"/>
      <c r="J37" s="24"/>
      <c r="K37" s="24"/>
      <c r="L37" s="22"/>
      <c r="M37" s="25"/>
      <c r="N37" s="26"/>
      <c r="O37" s="23"/>
      <c r="P37" s="20"/>
    </row>
    <row r="38" spans="1:16" ht="42.75" customHeight="1">
      <c r="A38" s="20"/>
      <c r="B38" s="20"/>
      <c r="C38" s="20"/>
      <c r="D38" s="20"/>
      <c r="E38" s="20"/>
      <c r="F38" s="21"/>
      <c r="G38" s="22"/>
      <c r="H38" s="23"/>
      <c r="I38" s="20"/>
      <c r="J38" s="24"/>
      <c r="K38" s="24"/>
      <c r="L38" s="22"/>
      <c r="M38" s="25"/>
      <c r="N38" s="26"/>
      <c r="O38" s="23"/>
      <c r="P38" s="20"/>
    </row>
    <row r="39" spans="1:16" ht="42.75" customHeight="1">
      <c r="A39" s="20"/>
      <c r="B39" s="20"/>
      <c r="C39" s="20"/>
      <c r="D39" s="20"/>
      <c r="E39" s="20"/>
      <c r="F39" s="21"/>
      <c r="G39" s="22"/>
      <c r="H39" s="23"/>
      <c r="I39" s="20"/>
      <c r="J39" s="24"/>
      <c r="K39" s="24"/>
      <c r="L39" s="22"/>
      <c r="M39" s="25"/>
      <c r="N39" s="26"/>
      <c r="O39" s="23"/>
      <c r="P39" s="20"/>
    </row>
    <row r="40" spans="1:16" ht="42.75" customHeight="1">
      <c r="A40" s="20"/>
      <c r="B40" s="20"/>
      <c r="C40" s="20"/>
      <c r="D40" s="20"/>
      <c r="E40" s="20"/>
      <c r="F40" s="21"/>
      <c r="G40" s="22"/>
      <c r="H40" s="23"/>
      <c r="I40" s="20"/>
      <c r="J40" s="24"/>
      <c r="K40" s="24"/>
      <c r="L40" s="22"/>
      <c r="M40" s="25"/>
      <c r="N40" s="26"/>
      <c r="O40" s="23"/>
      <c r="P40" s="20"/>
    </row>
    <row r="41" spans="1:16" ht="42.75" customHeight="1">
      <c r="A41" s="20"/>
      <c r="B41" s="20"/>
      <c r="C41" s="20"/>
      <c r="D41" s="20"/>
      <c r="E41" s="20"/>
      <c r="F41" s="21"/>
      <c r="G41" s="22"/>
      <c r="H41" s="23"/>
      <c r="I41" s="20"/>
      <c r="J41" s="24"/>
      <c r="K41" s="24"/>
      <c r="L41" s="22"/>
      <c r="M41" s="25"/>
      <c r="N41" s="26"/>
      <c r="O41" s="23"/>
      <c r="P41" s="20"/>
    </row>
    <row r="42" spans="6:12" ht="12">
      <c r="F42" s="2"/>
      <c r="G42" s="2"/>
      <c r="I42" s="2"/>
      <c r="L42" s="2"/>
    </row>
    <row r="45" spans="2:12" ht="12">
      <c r="B45" s="2" t="s">
        <v>73</v>
      </c>
      <c r="L45" s="2" t="s">
        <v>72</v>
      </c>
    </row>
    <row r="46" spans="2:15" ht="12">
      <c r="B46" s="36" t="s">
        <v>74</v>
      </c>
      <c r="C46" s="36"/>
      <c r="D46" s="36"/>
      <c r="L46" s="36" t="s">
        <v>52</v>
      </c>
      <c r="M46" s="36"/>
      <c r="N46" s="36"/>
      <c r="O46" s="36"/>
    </row>
  </sheetData>
  <sheetProtection/>
  <mergeCells count="133">
    <mergeCell ref="I34:I36"/>
    <mergeCell ref="J34:J36"/>
    <mergeCell ref="K34:K36"/>
    <mergeCell ref="L34:L36"/>
    <mergeCell ref="P34:P36"/>
    <mergeCell ref="O34:O36"/>
    <mergeCell ref="A34:A36"/>
    <mergeCell ref="B34:B36"/>
    <mergeCell ref="C34:C36"/>
    <mergeCell ref="D34:D36"/>
    <mergeCell ref="F34:F36"/>
    <mergeCell ref="H34:H36"/>
    <mergeCell ref="E34:E36"/>
    <mergeCell ref="G34:G36"/>
    <mergeCell ref="H31:H33"/>
    <mergeCell ref="I31:I33"/>
    <mergeCell ref="J31:J33"/>
    <mergeCell ref="K31:K33"/>
    <mergeCell ref="B27:B30"/>
    <mergeCell ref="A27:A30"/>
    <mergeCell ref="E27:E30"/>
    <mergeCell ref="G27:G30"/>
    <mergeCell ref="F27:F30"/>
    <mergeCell ref="E31:E33"/>
    <mergeCell ref="G31:G33"/>
    <mergeCell ref="H27:H30"/>
    <mergeCell ref="I27:I30"/>
    <mergeCell ref="J27:J30"/>
    <mergeCell ref="O31:O33"/>
    <mergeCell ref="P31:P33"/>
    <mergeCell ref="P27:P30"/>
    <mergeCell ref="O27:O30"/>
    <mergeCell ref="L31:L33"/>
    <mergeCell ref="L27:L30"/>
    <mergeCell ref="K27:K30"/>
    <mergeCell ref="I23:I26"/>
    <mergeCell ref="J23:J26"/>
    <mergeCell ref="P13:P16"/>
    <mergeCell ref="I17:I19"/>
    <mergeCell ref="L20:L22"/>
    <mergeCell ref="K23:K26"/>
    <mergeCell ref="L23:L26"/>
    <mergeCell ref="O23:O26"/>
    <mergeCell ref="P23:P26"/>
    <mergeCell ref="J13:J16"/>
    <mergeCell ref="K13:K16"/>
    <mergeCell ref="G17:G19"/>
    <mergeCell ref="H17:H19"/>
    <mergeCell ref="L13:L16"/>
    <mergeCell ref="H13:H16"/>
    <mergeCell ref="I13:I16"/>
    <mergeCell ref="J17:J19"/>
    <mergeCell ref="G13:G16"/>
    <mergeCell ref="L17:L19"/>
    <mergeCell ref="L9:L12"/>
    <mergeCell ref="P7:P8"/>
    <mergeCell ref="J6:J8"/>
    <mergeCell ref="K6:K8"/>
    <mergeCell ref="L6:L8"/>
    <mergeCell ref="M6:N6"/>
    <mergeCell ref="P9:P12"/>
    <mergeCell ref="M7:M8"/>
    <mergeCell ref="D6:D8"/>
    <mergeCell ref="E6:E8"/>
    <mergeCell ref="F6:F8"/>
    <mergeCell ref="H6:H8"/>
    <mergeCell ref="O6:O8"/>
    <mergeCell ref="N7:N8"/>
    <mergeCell ref="I6:I8"/>
    <mergeCell ref="G7:G8"/>
    <mergeCell ref="O13:O16"/>
    <mergeCell ref="J9:J12"/>
    <mergeCell ref="K9:K12"/>
    <mergeCell ref="O9:O12"/>
    <mergeCell ref="A13:A16"/>
    <mergeCell ref="A2:P2"/>
    <mergeCell ref="A3:P3"/>
    <mergeCell ref="A6:A8"/>
    <mergeCell ref="B6:B8"/>
    <mergeCell ref="C6:C8"/>
    <mergeCell ref="I9:I12"/>
    <mergeCell ref="C23:C26"/>
    <mergeCell ref="D23:D26"/>
    <mergeCell ref="F23:F26"/>
    <mergeCell ref="E23:E26"/>
    <mergeCell ref="A9:A12"/>
    <mergeCell ref="B9:B12"/>
    <mergeCell ref="C9:C12"/>
    <mergeCell ref="D9:D12"/>
    <mergeCell ref="E9:E12"/>
    <mergeCell ref="F9:F12"/>
    <mergeCell ref="G9:G12"/>
    <mergeCell ref="H9:H12"/>
    <mergeCell ref="H23:H26"/>
    <mergeCell ref="B17:B19"/>
    <mergeCell ref="C17:C19"/>
    <mergeCell ref="D17:D19"/>
    <mergeCell ref="E17:E19"/>
    <mergeCell ref="G23:G26"/>
    <mergeCell ref="E20:E22"/>
    <mergeCell ref="B13:B16"/>
    <mergeCell ref="C13:C16"/>
    <mergeCell ref="D13:D16"/>
    <mergeCell ref="E13:E16"/>
    <mergeCell ref="F13:F16"/>
    <mergeCell ref="C20:C22"/>
    <mergeCell ref="D20:D22"/>
    <mergeCell ref="B23:B26"/>
    <mergeCell ref="D27:D30"/>
    <mergeCell ref="C27:C30"/>
    <mergeCell ref="A17:A19"/>
    <mergeCell ref="A20:A22"/>
    <mergeCell ref="F17:F19"/>
    <mergeCell ref="O17:O19"/>
    <mergeCell ref="J20:J22"/>
    <mergeCell ref="O20:O22"/>
    <mergeCell ref="P20:P22"/>
    <mergeCell ref="A31:A33"/>
    <mergeCell ref="B31:B33"/>
    <mergeCell ref="C31:C33"/>
    <mergeCell ref="D31:D33"/>
    <mergeCell ref="F31:F33"/>
    <mergeCell ref="A23:A26"/>
    <mergeCell ref="B46:D46"/>
    <mergeCell ref="L46:O46"/>
    <mergeCell ref="P17:P19"/>
    <mergeCell ref="G20:G22"/>
    <mergeCell ref="H20:H22"/>
    <mergeCell ref="I20:I22"/>
    <mergeCell ref="K17:K19"/>
    <mergeCell ref="B20:B22"/>
    <mergeCell ref="F20:F22"/>
    <mergeCell ref="K20:K22"/>
  </mergeCells>
  <printOptions/>
  <pageMargins left="0.49" right="0.36" top="0.5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K32" sqref="K32"/>
    </sheetView>
  </sheetViews>
  <sheetFormatPr defaultColWidth="9.140625" defaultRowHeight="15"/>
  <cols>
    <col min="1" max="1" width="7.140625" style="0" customWidth="1"/>
    <col min="2" max="3" width="14.28125" style="0" customWidth="1"/>
    <col min="4" max="4" width="12.8515625" style="0" customWidth="1"/>
    <col min="5" max="6" width="13.421875" style="0" customWidth="1"/>
  </cols>
  <sheetData>
    <row r="1" ht="15">
      <c r="A1" t="s">
        <v>50</v>
      </c>
    </row>
    <row r="6" spans="2:6" ht="15.75">
      <c r="B6" s="90" t="s">
        <v>35</v>
      </c>
      <c r="C6" s="90"/>
      <c r="D6" s="90"/>
      <c r="E6" s="90"/>
      <c r="F6" s="90"/>
    </row>
    <row r="7" spans="2:6" ht="15">
      <c r="B7" s="91" t="s">
        <v>53</v>
      </c>
      <c r="C7" s="91"/>
      <c r="D7" s="91"/>
      <c r="E7" s="91"/>
      <c r="F7" s="91"/>
    </row>
    <row r="8" spans="2:6" ht="15">
      <c r="B8" s="91" t="s">
        <v>54</v>
      </c>
      <c r="C8" s="91"/>
      <c r="D8" s="91"/>
      <c r="E8" s="91"/>
      <c r="F8" s="91"/>
    </row>
    <row r="9" spans="2:6" ht="15">
      <c r="B9" s="6"/>
      <c r="C9" s="6"/>
      <c r="D9" s="6"/>
      <c r="E9" s="6"/>
      <c r="F9" s="6"/>
    </row>
    <row r="10" spans="2:6" ht="15">
      <c r="B10" s="6"/>
      <c r="C10" s="6"/>
      <c r="D10" s="6"/>
      <c r="E10" s="6"/>
      <c r="F10" s="6"/>
    </row>
    <row r="12" spans="2:9" ht="33.75" customHeight="1">
      <c r="B12" s="99"/>
      <c r="C12" s="97" t="s">
        <v>46</v>
      </c>
      <c r="D12" s="97"/>
      <c r="E12" s="98" t="s">
        <v>47</v>
      </c>
      <c r="F12" s="98"/>
      <c r="G12" s="93" t="s">
        <v>56</v>
      </c>
      <c r="H12" s="93"/>
      <c r="I12" t="s">
        <v>57</v>
      </c>
    </row>
    <row r="13" spans="2:8" ht="15">
      <c r="B13" s="99"/>
      <c r="C13" s="11" t="s">
        <v>48</v>
      </c>
      <c r="D13" s="11" t="s">
        <v>49</v>
      </c>
      <c r="E13" s="11" t="s">
        <v>48</v>
      </c>
      <c r="F13" s="11" t="s">
        <v>49</v>
      </c>
      <c r="G13" s="11" t="s">
        <v>48</v>
      </c>
      <c r="H13" s="11" t="s">
        <v>49</v>
      </c>
    </row>
    <row r="14" spans="2:9" ht="15">
      <c r="B14" s="7" t="s">
        <v>36</v>
      </c>
      <c r="C14" s="8">
        <f>1217.6/190.08</f>
        <v>6.405723905723905</v>
      </c>
      <c r="D14" s="8">
        <f>1561.01/286.29</f>
        <v>5.452548115547172</v>
      </c>
      <c r="E14" s="9">
        <f>(6.86+6.72)/2</f>
        <v>6.79</v>
      </c>
      <c r="F14" s="9">
        <f>(5.84+5.78)/2</f>
        <v>5.8100000000000005</v>
      </c>
      <c r="G14" s="7">
        <f>190.08+306.48</f>
        <v>496.56000000000006</v>
      </c>
      <c r="H14" s="7">
        <f>286.29+157.36</f>
        <v>443.65000000000003</v>
      </c>
      <c r="I14">
        <f>2778.61+2676.51</f>
        <v>5455.120000000001</v>
      </c>
    </row>
    <row r="15" spans="2:9" ht="15">
      <c r="B15" s="7" t="s">
        <v>37</v>
      </c>
      <c r="C15" s="8">
        <f>(3493.82/486.41+2848.42/401.55+292.18/37.77)/3</f>
        <v>7.337400664140688</v>
      </c>
      <c r="D15" s="8">
        <f>(3404.39/565.51+818.39/134.5)/2</f>
        <v>6.052359513756672</v>
      </c>
      <c r="E15" s="9">
        <f>(7.53+7.45+8.08)/3</f>
        <v>7.686666666666667</v>
      </c>
      <c r="F15" s="9">
        <f>(6.39+6.44)/2</f>
        <v>6.415</v>
      </c>
      <c r="G15" s="7">
        <v>925.73</v>
      </c>
      <c r="H15" s="7">
        <v>700.01</v>
      </c>
      <c r="I15">
        <v>10855.2</v>
      </c>
    </row>
    <row r="16" spans="2:9" ht="15">
      <c r="B16" s="7" t="s">
        <v>38</v>
      </c>
      <c r="C16" s="8">
        <f>6840.21/981.14</f>
        <v>6.971696190146156</v>
      </c>
      <c r="D16" s="8">
        <f>4874.22/842.06</f>
        <v>5.788447379046625</v>
      </c>
      <c r="E16" s="9">
        <f>(7.82+7.24+7.32)/3</f>
        <v>7.460000000000001</v>
      </c>
      <c r="F16" s="9">
        <f>(6.16+6.18)/2</f>
        <v>6.17</v>
      </c>
      <c r="G16" s="7">
        <v>981.14</v>
      </c>
      <c r="H16" s="7">
        <v>842.06</v>
      </c>
      <c r="I16">
        <v>11714.43</v>
      </c>
    </row>
    <row r="17" spans="2:9" ht="15">
      <c r="B17" s="7" t="s">
        <v>39</v>
      </c>
      <c r="C17" s="8">
        <f>(1671.95/236.47+3886.26/557.93)/2</f>
        <v>7.017975187706979</v>
      </c>
      <c r="D17" s="8">
        <f>(2777.37/468.18+740.59/122.76)/2</f>
        <v>5.98254896135519</v>
      </c>
      <c r="E17" s="9">
        <f>(7.42+7.32)/2</f>
        <v>7.37</v>
      </c>
      <c r="F17" s="9">
        <f>(6.31+6.41)/2</f>
        <v>6.359999999999999</v>
      </c>
      <c r="G17" s="7">
        <v>794.4</v>
      </c>
      <c r="H17" s="7">
        <v>590.94</v>
      </c>
      <c r="I17">
        <v>9076.17</v>
      </c>
    </row>
    <row r="18" spans="2:9" ht="15">
      <c r="B18" s="7" t="s">
        <v>40</v>
      </c>
      <c r="C18" s="8">
        <f>(4367.18/621.03+672.52/94.8)/2</f>
        <v>7.063124541772886</v>
      </c>
      <c r="D18" s="8">
        <f>3495.82/546.62</f>
        <v>6.395338626468114</v>
      </c>
      <c r="E18" s="9">
        <f>(7.47+7.43+7.39+7.38)/4</f>
        <v>7.4174999999999995</v>
      </c>
      <c r="F18" s="9">
        <f>(6.76+6.78)/2</f>
        <v>6.77</v>
      </c>
      <c r="G18" s="7">
        <f>621.03+94.8</f>
        <v>715.8299999999999</v>
      </c>
      <c r="H18" s="7">
        <v>546.62</v>
      </c>
      <c r="I18">
        <f>7863+672.52</f>
        <v>8535.52</v>
      </c>
    </row>
    <row r="19" spans="2:9" ht="15">
      <c r="B19" s="7" t="s">
        <v>41</v>
      </c>
      <c r="C19" s="8">
        <f>4190.99/571.03</f>
        <v>7.339351697809222</v>
      </c>
      <c r="D19" s="8">
        <f>5023/735.1</f>
        <v>6.833083934158617</v>
      </c>
      <c r="E19" s="9">
        <f>(7.68+7.69)/2</f>
        <v>7.6850000000000005</v>
      </c>
      <c r="F19" s="9">
        <f>(7.17+7.25)/2</f>
        <v>7.21</v>
      </c>
      <c r="G19" s="7">
        <v>571.03</v>
      </c>
      <c r="H19" s="7">
        <v>753.1</v>
      </c>
      <c r="I19">
        <v>9213.99</v>
      </c>
    </row>
    <row r="20" spans="2:9" ht="15">
      <c r="B20" s="7" t="s">
        <v>42</v>
      </c>
      <c r="C20" s="8">
        <f>5019.82/638.74</f>
        <v>7.85894104017284</v>
      </c>
      <c r="D20" s="8">
        <f>6788.21/923.37</f>
        <v>7.35156004635195</v>
      </c>
      <c r="E20" s="9">
        <f>(7.74+7.69)/2</f>
        <v>7.715</v>
      </c>
      <c r="F20" s="9">
        <f>(7.21+7.19)/2</f>
        <v>7.2</v>
      </c>
      <c r="G20" s="7">
        <v>638.74</v>
      </c>
      <c r="H20" s="7">
        <v>923.37</v>
      </c>
      <c r="I20">
        <v>11808.03</v>
      </c>
    </row>
    <row r="21" spans="2:9" ht="15">
      <c r="B21" s="7" t="s">
        <v>43</v>
      </c>
      <c r="C21" s="8">
        <f>5169.48/685.79</f>
        <v>7.537992679974919</v>
      </c>
      <c r="D21" s="8">
        <f>3436.04/485.36</f>
        <v>7.079363771221361</v>
      </c>
      <c r="E21" s="9">
        <f>(7.46+7.39)/2</f>
        <v>7.425</v>
      </c>
      <c r="F21" s="9">
        <f>(7.14+6.85+6.87+7.32)/4</f>
        <v>7.045</v>
      </c>
      <c r="G21" s="7">
        <v>685.79</v>
      </c>
      <c r="H21" s="7">
        <v>485.36</v>
      </c>
      <c r="I21">
        <v>8605.52</v>
      </c>
    </row>
    <row r="22" spans="2:9" ht="15">
      <c r="B22" s="7" t="s">
        <v>44</v>
      </c>
      <c r="C22" s="8">
        <f>3864.83/531.67</f>
        <v>7.269227152180864</v>
      </c>
      <c r="D22" s="8">
        <f>1522.63/230.38</f>
        <v>6.609210868999046</v>
      </c>
      <c r="E22" s="9">
        <f>(7.21+7.07)/2</f>
        <v>7.140000000000001</v>
      </c>
      <c r="F22" s="9">
        <f>(6.45+6.55)/2</f>
        <v>6.5</v>
      </c>
      <c r="G22" s="7">
        <v>531.67</v>
      </c>
      <c r="H22" s="7">
        <v>230.38</v>
      </c>
      <c r="I22">
        <v>5387.46</v>
      </c>
    </row>
    <row r="23" spans="2:9" ht="15">
      <c r="B23" s="7" t="s">
        <v>45</v>
      </c>
      <c r="C23" s="8">
        <f>2369.52/339.28</f>
        <v>6.983966045743929</v>
      </c>
      <c r="D23" s="8">
        <f>1574.47/239.69</f>
        <v>6.568776336100797</v>
      </c>
      <c r="E23" s="9">
        <f>(7.02+6.8)/2</f>
        <v>6.91</v>
      </c>
      <c r="F23" s="9">
        <f>(6.98+6.39+6.64)/3</f>
        <v>6.670000000000001</v>
      </c>
      <c r="G23" s="7">
        <v>339.28</v>
      </c>
      <c r="H23" s="7">
        <v>239.69</v>
      </c>
      <c r="I23">
        <v>3943.99</v>
      </c>
    </row>
    <row r="24" spans="2:9" ht="30" customHeight="1">
      <c r="B24" s="94" t="s">
        <v>55</v>
      </c>
      <c r="C24" s="95"/>
      <c r="D24" s="96"/>
      <c r="E24" s="10">
        <f>(E14+E15+E16+E17+E18+E19+E20+E21+E22+E23)/10</f>
        <v>7.359916666666666</v>
      </c>
      <c r="F24" s="10">
        <f>(F14+F15+F16+F17+F18+F19+F20+F21+F22+F23)/10</f>
        <v>6.615</v>
      </c>
      <c r="G24" s="7">
        <f>SUM(G14:G23)</f>
        <v>6680.169999999999</v>
      </c>
      <c r="H24" s="7">
        <f>SUM(H14:H23)</f>
        <v>5755.179999999999</v>
      </c>
      <c r="I24" s="12">
        <f>SUM(I14:I23)</f>
        <v>84595.43000000002</v>
      </c>
    </row>
    <row r="26" ht="15">
      <c r="H26">
        <f>G24+H24</f>
        <v>12435.349999999999</v>
      </c>
    </row>
    <row r="28" spans="5:9" ht="15">
      <c r="E28" s="92" t="s">
        <v>51</v>
      </c>
      <c r="F28" s="92"/>
      <c r="I28">
        <f>I24+I14+I15</f>
        <v>100905.75000000001</v>
      </c>
    </row>
    <row r="29" spans="5:6" ht="15">
      <c r="E29" s="92" t="s">
        <v>52</v>
      </c>
      <c r="F29" s="92"/>
    </row>
  </sheetData>
  <sheetProtection/>
  <mergeCells count="10">
    <mergeCell ref="B6:F6"/>
    <mergeCell ref="B7:F7"/>
    <mergeCell ref="E28:F28"/>
    <mergeCell ref="G12:H12"/>
    <mergeCell ref="E29:F29"/>
    <mergeCell ref="B8:F8"/>
    <mergeCell ref="B24:D24"/>
    <mergeCell ref="C12:D12"/>
    <mergeCell ref="E12:F12"/>
    <mergeCell ref="B12:B1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2024-04-16T08:25:36Z</dcterms:modified>
  <cp:category/>
  <cp:version/>
  <cp:contentType/>
  <cp:contentStatus/>
</cp:coreProperties>
</file>